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SRIGARD\Desktop\MiscProjects\Grants\ClimateChange\Deliverable\"/>
    </mc:Choice>
  </mc:AlternateContent>
  <xr:revisionPtr revIDLastSave="0" documentId="13_ncr:1_{E6BBEEC1-9EFA-4187-8431-3694CD596BF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19" i="1" s="1"/>
  <c r="B17" i="1"/>
  <c r="B19" i="1" s="1"/>
  <c r="B21" i="1" s="1"/>
  <c r="D15" i="1"/>
  <c r="H11" i="1"/>
  <c r="J11" i="1" s="1"/>
  <c r="L11" i="1" s="1"/>
  <c r="N11" i="1" s="1"/>
  <c r="O11" i="1" s="1"/>
  <c r="Q11" i="1" s="1"/>
  <c r="S11" i="1" s="1"/>
  <c r="H10" i="1"/>
  <c r="J10" i="1" s="1"/>
  <c r="L10" i="1" s="1"/>
  <c r="N10" i="1" s="1"/>
  <c r="O10" i="1" s="1"/>
  <c r="Q10" i="1" s="1"/>
  <c r="S10" i="1" s="1"/>
  <c r="B9" i="1"/>
  <c r="H6" i="1"/>
  <c r="K6" i="1" s="1"/>
  <c r="L6" i="1" s="1"/>
  <c r="N6" i="1" s="1"/>
  <c r="P6" i="1" s="1"/>
  <c r="B6" i="1"/>
  <c r="H5" i="1"/>
  <c r="K5" i="1" s="1"/>
  <c r="L5" i="1" s="1"/>
  <c r="N5" i="1" s="1"/>
  <c r="P5" i="1" s="1"/>
  <c r="D19" i="1" l="1"/>
  <c r="C21" i="1"/>
  <c r="D21" i="1" s="1"/>
  <c r="B10" i="1"/>
  <c r="B11" i="1" s="1"/>
  <c r="D17" i="1"/>
  <c r="E26" i="1" l="1"/>
  <c r="D26" i="1"/>
  <c r="F25" i="1"/>
  <c r="C26" i="1"/>
  <c r="E25" i="1"/>
  <c r="E27" i="1" s="1"/>
  <c r="D25" i="1"/>
  <c r="D27" i="1" s="1"/>
  <c r="C25" i="1"/>
  <c r="C27" i="1" s="1"/>
  <c r="F26" i="1"/>
  <c r="Z61" i="1" l="1"/>
  <c r="N61" i="1"/>
  <c r="Y61" i="1"/>
  <c r="M61" i="1"/>
  <c r="X61" i="1"/>
  <c r="L61" i="1"/>
  <c r="W61" i="1"/>
  <c r="K61" i="1"/>
  <c r="U61" i="1"/>
  <c r="I61" i="1"/>
  <c r="V61" i="1"/>
  <c r="J61" i="1"/>
  <c r="T61" i="1"/>
  <c r="H61" i="1"/>
  <c r="S61" i="1"/>
  <c r="G61" i="1"/>
  <c r="R61" i="1"/>
  <c r="F61" i="1"/>
  <c r="Q61" i="1"/>
  <c r="AA61" i="1"/>
  <c r="P61" i="1"/>
  <c r="O61" i="1"/>
  <c r="Z44" i="1"/>
  <c r="N44" i="1"/>
  <c r="Y44" i="1"/>
  <c r="M44" i="1"/>
  <c r="X44" i="1"/>
  <c r="L44" i="1"/>
  <c r="W44" i="1"/>
  <c r="K44" i="1"/>
  <c r="U44" i="1"/>
  <c r="I44" i="1"/>
  <c r="V44" i="1"/>
  <c r="J44" i="1"/>
  <c r="T44" i="1"/>
  <c r="H44" i="1"/>
  <c r="S44" i="1"/>
  <c r="G44" i="1"/>
  <c r="R44" i="1"/>
  <c r="F44" i="1"/>
  <c r="Q44" i="1"/>
  <c r="O44" i="1"/>
  <c r="P44" i="1"/>
  <c r="AA44" i="1"/>
  <c r="Z35" i="1"/>
  <c r="N35" i="1"/>
  <c r="M35" i="1"/>
  <c r="X35" i="1"/>
  <c r="L35" i="1"/>
  <c r="W35" i="1"/>
  <c r="K35" i="1"/>
  <c r="U35" i="1"/>
  <c r="I35" i="1"/>
  <c r="V35" i="1"/>
  <c r="J35" i="1"/>
  <c r="T35" i="1"/>
  <c r="H35" i="1"/>
  <c r="S35" i="1"/>
  <c r="G35" i="1"/>
  <c r="R35" i="1"/>
  <c r="F35" i="1"/>
  <c r="Q35" i="1"/>
  <c r="O35" i="1"/>
  <c r="P35" i="1"/>
  <c r="AA35" i="1"/>
  <c r="Y35" i="1"/>
  <c r="F27" i="1"/>
  <c r="Z53" i="1" l="1"/>
  <c r="N53" i="1"/>
  <c r="Y53" i="1"/>
  <c r="M53" i="1"/>
  <c r="X53" i="1"/>
  <c r="L53" i="1"/>
  <c r="W53" i="1"/>
  <c r="K53" i="1"/>
  <c r="U53" i="1"/>
  <c r="I53" i="1"/>
  <c r="V53" i="1"/>
  <c r="J53" i="1"/>
  <c r="T53" i="1"/>
  <c r="H53" i="1"/>
  <c r="S53" i="1"/>
  <c r="G53" i="1"/>
  <c r="R53" i="1"/>
  <c r="F53" i="1"/>
  <c r="Q53" i="1"/>
  <c r="AA53" i="1"/>
  <c r="P53" i="1"/>
  <c r="O53" i="1"/>
  <c r="AA45" i="1"/>
  <c r="C67" i="1" s="1"/>
  <c r="G45" i="1"/>
  <c r="B67" i="1" s="1"/>
  <c r="AA62" i="1"/>
  <c r="C69" i="1" s="1"/>
  <c r="C70" i="1" s="1"/>
  <c r="G62" i="1"/>
  <c r="B69" i="1" s="1"/>
  <c r="B70" i="1" s="1"/>
  <c r="AA36" i="1"/>
  <c r="C66" i="1" s="1"/>
  <c r="G36" i="1"/>
  <c r="B66" i="1" s="1"/>
  <c r="AA54" i="1" l="1"/>
  <c r="C68" i="1" s="1"/>
  <c r="G54" i="1"/>
  <c r="B68" i="1" s="1"/>
</calcChain>
</file>

<file path=xl/sharedStrings.xml><?xml version="1.0" encoding="utf-8"?>
<sst xmlns="http://schemas.openxmlformats.org/spreadsheetml/2006/main" count="107" uniqueCount="58">
  <si>
    <t>Program Assumptions</t>
  </si>
  <si>
    <t>100% Car Replacement</t>
  </si>
  <si>
    <t>Number of Units</t>
  </si>
  <si>
    <t>Trail Corridor</t>
  </si>
  <si>
    <t>Trips/day</t>
  </si>
  <si>
    <t>Days/Year</t>
  </si>
  <si>
    <t>Trips/year</t>
  </si>
  <si>
    <t>Miles/Trip</t>
  </si>
  <si>
    <t>grams/mile CO2</t>
  </si>
  <si>
    <t>grams CO2/year</t>
  </si>
  <si>
    <t>metric tons CO2/year</t>
  </si>
  <si>
    <t>years/lifetime</t>
  </si>
  <si>
    <t>lifetime metric tons CO2</t>
  </si>
  <si>
    <t>Budget</t>
  </si>
  <si>
    <t>$/ton</t>
  </si>
  <si>
    <t>Number of Performance Years</t>
  </si>
  <si>
    <t>SR-09</t>
  </si>
  <si>
    <t>Units/Peformance Year</t>
  </si>
  <si>
    <t>SR-07</t>
  </si>
  <si>
    <t>Unit Life (years)</t>
  </si>
  <si>
    <t>Incentive per Unit</t>
  </si>
  <si>
    <t>Commuter Share Car Replacement</t>
  </si>
  <si>
    <t>Incentive Budget</t>
  </si>
  <si>
    <t>% Commute</t>
  </si>
  <si>
    <t>Miles/year</t>
  </si>
  <si>
    <t>Administrative Budget (NONE)</t>
  </si>
  <si>
    <t>Total Budget</t>
  </si>
  <si>
    <t>Trail Assumptions</t>
  </si>
  <si>
    <t>Combined</t>
  </si>
  <si>
    <t>Vehicle Emissions (Source: https://www.bts.gov/content/estimated-national-average-vehicle-emissions-rates-vehicle-vehicle-type-using-gasoline-and)</t>
  </si>
  <si>
    <t>Source</t>
  </si>
  <si>
    <t>SO2 (metric tons)</t>
  </si>
  <si>
    <t>NOX (metric tons)</t>
  </si>
  <si>
    <t>CO2 (metric tons)</t>
  </si>
  <si>
    <t>PM2.5 (metric tons)</t>
  </si>
  <si>
    <t>VOCs (metric tons)</t>
  </si>
  <si>
    <t>NH3 (metric tons)</t>
  </si>
  <si>
    <t>Light-duty gasoline vehicles</t>
  </si>
  <si>
    <t>Light-duty trucks</t>
  </si>
  <si>
    <t>Average</t>
  </si>
  <si>
    <t>Year 1 - 2025</t>
  </si>
  <si>
    <t>Year 2 - 2026</t>
  </si>
  <si>
    <t>Year 3 - 2027</t>
  </si>
  <si>
    <t>Year 4 - 2028</t>
  </si>
  <si>
    <t>Year 5 - 2029</t>
  </si>
  <si>
    <t>By 2030:</t>
  </si>
  <si>
    <t>by 2050:</t>
  </si>
  <si>
    <t>VOC (metric tons)</t>
  </si>
  <si>
    <t>Emissions Reduction Summary</t>
  </si>
  <si>
    <t>Criteria Pollutant</t>
  </si>
  <si>
    <t>By 2030 (metric tons)</t>
  </si>
  <si>
    <t>By 2050 (metric tons)</t>
  </si>
  <si>
    <t>NOx</t>
  </si>
  <si>
    <t>PM2.5</t>
  </si>
  <si>
    <t>VOC</t>
  </si>
  <si>
    <t>CO2</t>
  </si>
  <si>
    <t>$/net metric ton CO2</t>
  </si>
  <si>
    <t>UDOT Trails (Active Transportation)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</si>
</sst>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"/>
    <numFmt numFmtId="165" formatCode="0.0%"/>
    <numFmt numFmtId="166" formatCode="0.0"/>
    <numFmt numFmtId="167" formatCode="0.000"/>
    <numFmt numFmtId="168" formatCode="#,##0.0"/>
  </numFmts>
  <fonts count="3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/>
    <xf numFmtId="3" fontId="2" fillId="0" borderId="3" xfId="0" applyNumberFormat="1" applyFont="1" applyBorder="1" applyAlignment="1">
      <alignment horizontal="right"/>
    </xf>
    <xf numFmtId="0" fontId="2" fillId="0" borderId="4" xfId="0" applyFont="1" applyBorder="1"/>
    <xf numFmtId="0" fontId="1" fillId="0" borderId="3" xfId="0" applyFont="1" applyBorder="1" applyAlignment="1">
      <alignment horizontal="center" wrapText="1"/>
    </xf>
    <xf numFmtId="0" fontId="1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 wrapText="1"/>
    </xf>
    <xf numFmtId="164" fontId="2" fillId="0" borderId="3" xfId="0" applyNumberFormat="1" applyFont="1" applyBorder="1" applyAlignment="1">
      <alignment horizontal="right" wrapText="1"/>
    </xf>
    <xf numFmtId="164" fontId="2" fillId="0" borderId="3" xfId="0" applyNumberFormat="1" applyFont="1" applyBorder="1" applyAlignment="1">
      <alignment horizontal="right"/>
    </xf>
    <xf numFmtId="0" fontId="2" fillId="2" borderId="2" xfId="0" applyFont="1" applyFill="1" applyBorder="1"/>
    <xf numFmtId="165" fontId="2" fillId="0" borderId="3" xfId="0" applyNumberFormat="1" applyFont="1" applyBorder="1" applyAlignment="1">
      <alignment horizontal="right"/>
    </xf>
    <xf numFmtId="0" fontId="1" fillId="0" borderId="2" xfId="0" applyFont="1" applyBorder="1" applyAlignment="1">
      <alignment wrapText="1"/>
    </xf>
    <xf numFmtId="0" fontId="2" fillId="0" borderId="3" xfId="0" applyFont="1" applyBorder="1"/>
    <xf numFmtId="0" fontId="1" fillId="0" borderId="2" xfId="0" applyFont="1" applyBorder="1"/>
    <xf numFmtId="9" fontId="2" fillId="2" borderId="3" xfId="0" applyNumberFormat="1" applyFont="1" applyFill="1" applyBorder="1" applyAlignment="1">
      <alignment horizontal="right"/>
    </xf>
    <xf numFmtId="0" fontId="2" fillId="3" borderId="3" xfId="0" applyFont="1" applyFill="1" applyBorder="1"/>
    <xf numFmtId="166" fontId="2" fillId="0" borderId="3" xfId="0" applyNumberFormat="1" applyFont="1" applyBorder="1"/>
    <xf numFmtId="167" fontId="2" fillId="0" borderId="3" xfId="0" applyNumberFormat="1" applyFont="1" applyBorder="1"/>
    <xf numFmtId="167" fontId="2" fillId="0" borderId="3" xfId="0" applyNumberFormat="1" applyFont="1" applyBorder="1" applyAlignment="1">
      <alignment horizontal="right"/>
    </xf>
    <xf numFmtId="166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3" xfId="0" applyNumberFormat="1" applyFont="1" applyBorder="1" applyAlignment="1">
      <alignment horizontal="right"/>
    </xf>
    <xf numFmtId="0" fontId="2" fillId="0" borderId="2" xfId="0" applyFont="1" applyBorder="1" applyAlignment="1">
      <alignment wrapText="1"/>
    </xf>
    <xf numFmtId="168" fontId="2" fillId="0" borderId="3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991"/>
  <sheetViews>
    <sheetView tabSelected="1" workbookViewId="0">
      <selection activeCell="R12" sqref="R12"/>
    </sheetView>
  </sheetViews>
  <sheetFormatPr defaultColWidth="12.5703125" defaultRowHeight="15.75" customHeight="1" x14ac:dyDescent="0.2"/>
  <cols>
    <col min="1" max="1" width="26.7109375" customWidth="1"/>
    <col min="10" max="11" width="16.7109375" customWidth="1"/>
    <col min="14" max="14" width="15.140625" customWidth="1"/>
  </cols>
  <sheetData>
    <row r="1" spans="1:27" ht="12.75" x14ac:dyDescent="0.2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2.7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2.75" x14ac:dyDescent="0.2">
      <c r="A3" s="3" t="s">
        <v>0</v>
      </c>
      <c r="B3" s="4"/>
      <c r="C3" s="2"/>
      <c r="D3" s="2"/>
      <c r="E3" s="3" t="s">
        <v>1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26.25" customHeight="1" x14ac:dyDescent="0.2">
      <c r="A4" s="5" t="s">
        <v>2</v>
      </c>
      <c r="B4" s="6">
        <v>1</v>
      </c>
      <c r="C4" s="2"/>
      <c r="D4" s="7"/>
      <c r="E4" s="8" t="s">
        <v>3</v>
      </c>
      <c r="F4" s="8" t="s">
        <v>4</v>
      </c>
      <c r="G4" s="9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14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2.75" x14ac:dyDescent="0.2">
      <c r="A5" s="5" t="s">
        <v>15</v>
      </c>
      <c r="B5" s="10">
        <v>1</v>
      </c>
      <c r="C5" s="2"/>
      <c r="D5" s="7"/>
      <c r="E5" s="11" t="s">
        <v>16</v>
      </c>
      <c r="F5" s="12">
        <v>900</v>
      </c>
      <c r="G5" s="13">
        <v>365</v>
      </c>
      <c r="H5" s="6">
        <f t="shared" ref="H5:H6" si="0">F5*G5</f>
        <v>328500</v>
      </c>
      <c r="I5" s="12">
        <v>20</v>
      </c>
      <c r="J5" s="12">
        <v>346.995</v>
      </c>
      <c r="K5" s="14">
        <f t="shared" ref="K5:K6" si="1">H5*I5*J5</f>
        <v>2279757150</v>
      </c>
      <c r="L5" s="14">
        <f t="shared" ref="L5:L6" si="2">K5/1000000</f>
        <v>2279.7571499999999</v>
      </c>
      <c r="M5" s="12">
        <v>40</v>
      </c>
      <c r="N5" s="14">
        <f t="shared" ref="N5:N6" si="3">M5*L5</f>
        <v>91190.285999999993</v>
      </c>
      <c r="O5" s="15">
        <v>26000000</v>
      </c>
      <c r="P5" s="15">
        <f t="shared" ref="P5:P6" si="4">O5/N5</f>
        <v>285.11808812618489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12.75" x14ac:dyDescent="0.2">
      <c r="A6" s="5" t="s">
        <v>17</v>
      </c>
      <c r="B6" s="6">
        <f>B4/B5</f>
        <v>1</v>
      </c>
      <c r="C6" s="2"/>
      <c r="D6" s="7"/>
      <c r="E6" s="11" t="s">
        <v>18</v>
      </c>
      <c r="F6" s="12">
        <v>788</v>
      </c>
      <c r="G6" s="13">
        <v>365</v>
      </c>
      <c r="H6" s="6">
        <f t="shared" si="0"/>
        <v>287620</v>
      </c>
      <c r="I6" s="12">
        <v>20</v>
      </c>
      <c r="J6" s="12">
        <v>346.995</v>
      </c>
      <c r="K6" s="14">
        <f t="shared" si="1"/>
        <v>1996054038</v>
      </c>
      <c r="L6" s="14">
        <f t="shared" si="2"/>
        <v>1996.054038</v>
      </c>
      <c r="M6" s="12">
        <v>40</v>
      </c>
      <c r="N6" s="14">
        <f t="shared" si="3"/>
        <v>79842.161519999994</v>
      </c>
      <c r="O6" s="15">
        <v>14000000</v>
      </c>
      <c r="P6" s="15">
        <f t="shared" si="4"/>
        <v>175.34595423613479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2.75" x14ac:dyDescent="0.2">
      <c r="A7" s="5" t="s">
        <v>19</v>
      </c>
      <c r="B7" s="6">
        <v>40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2.75" x14ac:dyDescent="0.2">
      <c r="A8" s="5" t="s">
        <v>20</v>
      </c>
      <c r="B8" s="16">
        <v>7000</v>
      </c>
      <c r="C8" s="2"/>
      <c r="D8" s="2"/>
      <c r="E8" s="3" t="s">
        <v>21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2"/>
      <c r="U8" s="2"/>
      <c r="V8" s="2"/>
      <c r="W8" s="2"/>
      <c r="X8" s="2"/>
      <c r="Y8" s="2"/>
      <c r="Z8" s="2"/>
      <c r="AA8" s="2"/>
    </row>
    <row r="9" spans="1:27" ht="36.75" customHeight="1" x14ac:dyDescent="0.2">
      <c r="A9" s="5" t="s">
        <v>22</v>
      </c>
      <c r="B9" s="16">
        <f>R10+R11</f>
        <v>127736000</v>
      </c>
      <c r="C9" s="2"/>
      <c r="D9" s="7"/>
      <c r="E9" s="8" t="s">
        <v>3</v>
      </c>
      <c r="F9" s="8" t="s">
        <v>4</v>
      </c>
      <c r="G9" s="9" t="s">
        <v>23</v>
      </c>
      <c r="H9" s="8" t="s">
        <v>4</v>
      </c>
      <c r="I9" s="9" t="s">
        <v>5</v>
      </c>
      <c r="J9" s="8" t="s">
        <v>6</v>
      </c>
      <c r="K9" s="8" t="s">
        <v>7</v>
      </c>
      <c r="L9" s="9" t="s">
        <v>24</v>
      </c>
      <c r="M9" s="8" t="s">
        <v>8</v>
      </c>
      <c r="N9" s="8" t="s">
        <v>9</v>
      </c>
      <c r="O9" s="8" t="s">
        <v>10</v>
      </c>
      <c r="P9" s="8" t="s">
        <v>11</v>
      </c>
      <c r="Q9" s="8" t="s">
        <v>12</v>
      </c>
      <c r="R9" s="8" t="s">
        <v>13</v>
      </c>
      <c r="S9" s="8" t="s">
        <v>14</v>
      </c>
      <c r="T9" s="2"/>
      <c r="U9" s="2"/>
      <c r="V9" s="2"/>
      <c r="W9" s="2"/>
      <c r="X9" s="2"/>
      <c r="Y9" s="2"/>
      <c r="Z9" s="2"/>
      <c r="AA9" s="2"/>
    </row>
    <row r="10" spans="1:27" ht="12.75" x14ac:dyDescent="0.2">
      <c r="A10" s="17" t="s">
        <v>25</v>
      </c>
      <c r="B10" s="16">
        <f>B9*0</f>
        <v>0</v>
      </c>
      <c r="C10" s="2"/>
      <c r="D10" s="7"/>
      <c r="E10" s="11" t="s">
        <v>16</v>
      </c>
      <c r="F10" s="12">
        <v>900</v>
      </c>
      <c r="G10" s="18">
        <v>0.05</v>
      </c>
      <c r="H10" s="12">
        <f t="shared" ref="H10:H11" si="5">F10*G10</f>
        <v>45</v>
      </c>
      <c r="I10" s="13">
        <v>365</v>
      </c>
      <c r="J10" s="6">
        <f t="shared" ref="J10:J11" si="6">H10*I10</f>
        <v>16425</v>
      </c>
      <c r="K10" s="12">
        <v>20</v>
      </c>
      <c r="L10" s="13">
        <f t="shared" ref="L10:L11" si="7">J10*K10</f>
        <v>328500</v>
      </c>
      <c r="M10" s="12">
        <v>346.995</v>
      </c>
      <c r="N10" s="14">
        <f t="shared" ref="N10:N11" si="8">L10*M10</f>
        <v>113987857.5</v>
      </c>
      <c r="O10" s="14">
        <f t="shared" ref="O10:O11" si="9">N10/1000000</f>
        <v>113.9878575</v>
      </c>
      <c r="P10" s="12">
        <v>40</v>
      </c>
      <c r="Q10" s="14">
        <f t="shared" ref="Q10:Q11" si="10">P10*O10</f>
        <v>4559.5142999999998</v>
      </c>
      <c r="R10" s="15">
        <v>24940000</v>
      </c>
      <c r="S10" s="15">
        <f t="shared" ref="S10:S11" si="11">R10/Q10</f>
        <v>5469.8808598977312</v>
      </c>
      <c r="T10" s="2"/>
      <c r="U10" s="2"/>
      <c r="V10" s="2"/>
      <c r="W10" s="2"/>
      <c r="X10" s="2"/>
      <c r="Y10" s="2"/>
      <c r="Z10" s="2"/>
      <c r="AA10" s="2"/>
    </row>
    <row r="11" spans="1:27" ht="12.75" x14ac:dyDescent="0.2">
      <c r="A11" s="5" t="s">
        <v>26</v>
      </c>
      <c r="B11" s="16">
        <f>B9+B10</f>
        <v>127736000</v>
      </c>
      <c r="C11" s="2"/>
      <c r="D11" s="7"/>
      <c r="E11" s="11" t="s">
        <v>18</v>
      </c>
      <c r="F11" s="12">
        <v>788</v>
      </c>
      <c r="G11" s="18">
        <v>0.15</v>
      </c>
      <c r="H11" s="12">
        <f t="shared" si="5"/>
        <v>118.19999999999999</v>
      </c>
      <c r="I11" s="13">
        <v>365</v>
      </c>
      <c r="J11" s="6">
        <f t="shared" si="6"/>
        <v>43142.999999999993</v>
      </c>
      <c r="K11" s="12">
        <v>20</v>
      </c>
      <c r="L11" s="13">
        <f t="shared" si="7"/>
        <v>862859.99999999988</v>
      </c>
      <c r="M11" s="12">
        <v>346.995</v>
      </c>
      <c r="N11" s="14">
        <f t="shared" si="8"/>
        <v>299408105.69999999</v>
      </c>
      <c r="O11" s="14">
        <f t="shared" si="9"/>
        <v>299.40810569999996</v>
      </c>
      <c r="P11" s="12">
        <v>40</v>
      </c>
      <c r="Q11" s="14">
        <f t="shared" si="10"/>
        <v>11976.324227999998</v>
      </c>
      <c r="R11" s="15">
        <v>102796000</v>
      </c>
      <c r="S11" s="15">
        <f t="shared" si="11"/>
        <v>8583.2679579322448</v>
      </c>
      <c r="T11" s="2"/>
      <c r="U11" s="2"/>
      <c r="V11" s="2"/>
      <c r="W11" s="2"/>
      <c r="X11" s="2"/>
      <c r="Y11" s="2"/>
      <c r="Z11" s="2"/>
      <c r="AA11" s="2"/>
    </row>
    <row r="12" spans="1:27" ht="12.7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2.75" x14ac:dyDescent="0.2">
      <c r="A13" s="3" t="s">
        <v>27</v>
      </c>
      <c r="B13" s="4"/>
      <c r="C13" s="4"/>
      <c r="D13" s="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2.75" x14ac:dyDescent="0.2">
      <c r="A14" s="19" t="s">
        <v>3</v>
      </c>
      <c r="B14" s="11" t="s">
        <v>16</v>
      </c>
      <c r="C14" s="11" t="s">
        <v>18</v>
      </c>
      <c r="D14" s="20" t="s">
        <v>28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x14ac:dyDescent="0.2">
      <c r="A15" s="19" t="s">
        <v>4</v>
      </c>
      <c r="B15" s="12">
        <v>900</v>
      </c>
      <c r="C15" s="12">
        <v>788</v>
      </c>
      <c r="D15" s="13">
        <f>B15+C15</f>
        <v>1688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x14ac:dyDescent="0.2">
      <c r="A16" s="21" t="s">
        <v>23</v>
      </c>
      <c r="B16" s="18">
        <v>0.05</v>
      </c>
      <c r="C16" s="18">
        <v>0.15</v>
      </c>
      <c r="D16" s="22">
        <v>0.1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x14ac:dyDescent="0.2">
      <c r="A17" s="19" t="s">
        <v>4</v>
      </c>
      <c r="B17" s="12">
        <f t="shared" ref="B17:C17" si="12">B15*B16</f>
        <v>45</v>
      </c>
      <c r="C17" s="12">
        <f t="shared" si="12"/>
        <v>118.19999999999999</v>
      </c>
      <c r="D17" s="13">
        <f>B17+C17</f>
        <v>163.19999999999999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x14ac:dyDescent="0.2">
      <c r="A18" s="21" t="s">
        <v>5</v>
      </c>
      <c r="B18" s="13">
        <v>365</v>
      </c>
      <c r="C18" s="13">
        <v>365</v>
      </c>
      <c r="D18" s="13">
        <v>365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2.75" x14ac:dyDescent="0.2">
      <c r="A19" s="19" t="s">
        <v>6</v>
      </c>
      <c r="B19" s="6">
        <f t="shared" ref="B19:C19" si="13">B17*B18</f>
        <v>16425</v>
      </c>
      <c r="C19" s="6">
        <f t="shared" si="13"/>
        <v>43142.999999999993</v>
      </c>
      <c r="D19" s="6">
        <f>C19+B19</f>
        <v>59567.999999999993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x14ac:dyDescent="0.2">
      <c r="A20" s="19" t="s">
        <v>7</v>
      </c>
      <c r="B20" s="12">
        <v>20</v>
      </c>
      <c r="C20" s="12">
        <v>20</v>
      </c>
      <c r="D20" s="13">
        <v>20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x14ac:dyDescent="0.2">
      <c r="A21" s="21" t="s">
        <v>24</v>
      </c>
      <c r="B21" s="13">
        <f t="shared" ref="B21:C21" si="14">B19*B20</f>
        <v>328500</v>
      </c>
      <c r="C21" s="13">
        <f t="shared" si="14"/>
        <v>862859.99999999988</v>
      </c>
      <c r="D21" s="13">
        <f>B21+C21</f>
        <v>1191360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x14ac:dyDescent="0.2">
      <c r="A23" s="3" t="s">
        <v>29</v>
      </c>
      <c r="B23" s="4"/>
      <c r="C23" s="4"/>
      <c r="D23" s="4"/>
      <c r="E23" s="4"/>
      <c r="F23" s="4"/>
      <c r="G23" s="4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32.25" customHeight="1" x14ac:dyDescent="0.2">
      <c r="A24" s="5" t="s">
        <v>30</v>
      </c>
      <c r="B24" s="11" t="s">
        <v>31</v>
      </c>
      <c r="C24" s="11" t="s">
        <v>32</v>
      </c>
      <c r="D24" s="11" t="s">
        <v>33</v>
      </c>
      <c r="E24" s="11" t="s">
        <v>34</v>
      </c>
      <c r="F24" s="11" t="s">
        <v>35</v>
      </c>
      <c r="G24" s="11" t="s">
        <v>36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x14ac:dyDescent="0.2">
      <c r="A25" s="5" t="s">
        <v>37</v>
      </c>
      <c r="B25" s="23"/>
      <c r="C25" s="13">
        <f>0.159*$D$21/1000000</f>
        <v>0.18942624</v>
      </c>
      <c r="D25" s="13">
        <f>346.996*$D$21/1000000</f>
        <v>413.39715455999999</v>
      </c>
      <c r="E25" s="13">
        <f>0.002*$D$21/1000000</f>
        <v>2.3827200000000001E-3</v>
      </c>
      <c r="F25" s="13">
        <f>0.307*$D$21/1000000</f>
        <v>0.36574751999999999</v>
      </c>
      <c r="G25" s="23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x14ac:dyDescent="0.2">
      <c r="A26" s="5" t="s">
        <v>38</v>
      </c>
      <c r="B26" s="23"/>
      <c r="C26" s="13">
        <f>0.22*$D$21/1000000</f>
        <v>0.26209920000000003</v>
      </c>
      <c r="D26" s="13">
        <f>442.732*$D$21/1000000</f>
        <v>527.45319552000001</v>
      </c>
      <c r="E26" s="13">
        <f>0.003*$D$21/1000000</f>
        <v>3.5740799999999999E-3</v>
      </c>
      <c r="F26" s="13">
        <f>0.292*$D$21/1000000</f>
        <v>0.34787711999999998</v>
      </c>
      <c r="G26" s="2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x14ac:dyDescent="0.2">
      <c r="A27" s="5" t="s">
        <v>39</v>
      </c>
      <c r="B27" s="23"/>
      <c r="C27" s="13">
        <f t="shared" ref="C27:F27" si="15">AVERAGE(C25:C26)</f>
        <v>0.22576272000000003</v>
      </c>
      <c r="D27" s="13">
        <f t="shared" si="15"/>
        <v>470.42517504</v>
      </c>
      <c r="E27" s="13">
        <f t="shared" si="15"/>
        <v>2.9784E-3</v>
      </c>
      <c r="F27" s="13">
        <f t="shared" si="15"/>
        <v>0.35681231999999996</v>
      </c>
      <c r="G27" s="2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x14ac:dyDescent="0.2">
      <c r="A29" s="4" t="s">
        <v>32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x14ac:dyDescent="0.2">
      <c r="A30" s="5"/>
      <c r="B30" s="13">
        <v>2025</v>
      </c>
      <c r="C30" s="13">
        <v>2026</v>
      </c>
      <c r="D30" s="13">
        <v>2027</v>
      </c>
      <c r="E30" s="13">
        <v>2028</v>
      </c>
      <c r="F30" s="13">
        <v>2029</v>
      </c>
      <c r="G30" s="13">
        <v>2030</v>
      </c>
      <c r="H30" s="13">
        <v>2031</v>
      </c>
      <c r="I30" s="13">
        <v>2032</v>
      </c>
      <c r="J30" s="13">
        <v>2033</v>
      </c>
      <c r="K30" s="13">
        <v>2034</v>
      </c>
      <c r="L30" s="13">
        <v>2035</v>
      </c>
      <c r="M30" s="13">
        <v>2036</v>
      </c>
      <c r="N30" s="13">
        <v>2037</v>
      </c>
      <c r="O30" s="13">
        <v>2038</v>
      </c>
      <c r="P30" s="13">
        <v>2039</v>
      </c>
      <c r="Q30" s="13">
        <v>2040</v>
      </c>
      <c r="R30" s="13">
        <v>2041</v>
      </c>
      <c r="S30" s="13">
        <v>2042</v>
      </c>
      <c r="T30" s="13">
        <v>2043</v>
      </c>
      <c r="U30" s="13">
        <v>2044</v>
      </c>
      <c r="V30" s="13">
        <v>2045</v>
      </c>
      <c r="W30" s="13">
        <v>2046</v>
      </c>
      <c r="X30" s="13">
        <v>2047</v>
      </c>
      <c r="Y30" s="13">
        <v>2048</v>
      </c>
      <c r="Z30" s="13">
        <v>2049</v>
      </c>
      <c r="AA30" s="13">
        <v>2050</v>
      </c>
    </row>
    <row r="31" spans="1:27" ht="12.75" x14ac:dyDescent="0.2">
      <c r="A31" s="5" t="s">
        <v>40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</row>
    <row r="32" spans="1:27" ht="12.75" x14ac:dyDescent="0.2">
      <c r="A32" s="5" t="s">
        <v>41</v>
      </c>
      <c r="B32" s="2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</row>
    <row r="33" spans="1:27" ht="12.75" x14ac:dyDescent="0.2">
      <c r="A33" s="5" t="s">
        <v>42</v>
      </c>
      <c r="B33" s="24"/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</row>
    <row r="34" spans="1:27" ht="12.75" x14ac:dyDescent="0.2">
      <c r="A34" s="5" t="s">
        <v>43</v>
      </c>
      <c r="B34" s="24"/>
      <c r="C34" s="24"/>
      <c r="D34" s="2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</row>
    <row r="35" spans="1:27" ht="12.75" x14ac:dyDescent="0.2">
      <c r="A35" s="5" t="s">
        <v>44</v>
      </c>
      <c r="B35" s="24"/>
      <c r="C35" s="24"/>
      <c r="D35" s="24"/>
      <c r="E35" s="24"/>
      <c r="F35" s="26">
        <f t="shared" ref="F35:AA35" si="16">$C$27</f>
        <v>0.22576272000000003</v>
      </c>
      <c r="G35" s="26">
        <f t="shared" si="16"/>
        <v>0.22576272000000003</v>
      </c>
      <c r="H35" s="26">
        <f t="shared" si="16"/>
        <v>0.22576272000000003</v>
      </c>
      <c r="I35" s="26">
        <f t="shared" si="16"/>
        <v>0.22576272000000003</v>
      </c>
      <c r="J35" s="26">
        <f t="shared" si="16"/>
        <v>0.22576272000000003</v>
      </c>
      <c r="K35" s="26">
        <f t="shared" si="16"/>
        <v>0.22576272000000003</v>
      </c>
      <c r="L35" s="26">
        <f t="shared" si="16"/>
        <v>0.22576272000000003</v>
      </c>
      <c r="M35" s="26">
        <f t="shared" si="16"/>
        <v>0.22576272000000003</v>
      </c>
      <c r="N35" s="26">
        <f t="shared" si="16"/>
        <v>0.22576272000000003</v>
      </c>
      <c r="O35" s="26">
        <f t="shared" si="16"/>
        <v>0.22576272000000003</v>
      </c>
      <c r="P35" s="26">
        <f t="shared" si="16"/>
        <v>0.22576272000000003</v>
      </c>
      <c r="Q35" s="26">
        <f t="shared" si="16"/>
        <v>0.22576272000000003</v>
      </c>
      <c r="R35" s="26">
        <f t="shared" si="16"/>
        <v>0.22576272000000003</v>
      </c>
      <c r="S35" s="26">
        <f t="shared" si="16"/>
        <v>0.22576272000000003</v>
      </c>
      <c r="T35" s="26">
        <f t="shared" si="16"/>
        <v>0.22576272000000003</v>
      </c>
      <c r="U35" s="26">
        <f t="shared" si="16"/>
        <v>0.22576272000000003</v>
      </c>
      <c r="V35" s="26">
        <f t="shared" si="16"/>
        <v>0.22576272000000003</v>
      </c>
      <c r="W35" s="26">
        <f t="shared" si="16"/>
        <v>0.22576272000000003</v>
      </c>
      <c r="X35" s="26">
        <f t="shared" si="16"/>
        <v>0.22576272000000003</v>
      </c>
      <c r="Y35" s="26">
        <f t="shared" si="16"/>
        <v>0.22576272000000003</v>
      </c>
      <c r="Z35" s="26">
        <f t="shared" si="16"/>
        <v>0.22576272000000003</v>
      </c>
      <c r="AA35" s="26">
        <f t="shared" si="16"/>
        <v>0.22576272000000003</v>
      </c>
    </row>
    <row r="36" spans="1:27" ht="12.75" x14ac:dyDescent="0.2">
      <c r="A36" s="2"/>
      <c r="B36" s="27"/>
      <c r="C36" s="27"/>
      <c r="D36" s="27"/>
      <c r="E36" s="27"/>
      <c r="F36" s="27" t="s">
        <v>45</v>
      </c>
      <c r="G36" s="28">
        <f>SUM(B31:G35)</f>
        <v>0.45152544000000006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 t="s">
        <v>46</v>
      </c>
      <c r="AA36" s="28">
        <f>SUM(B31:AA35)</f>
        <v>4.9667798399999992</v>
      </c>
    </row>
    <row r="37" spans="1:27" ht="12.7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x14ac:dyDescent="0.2">
      <c r="A38" s="4" t="s">
        <v>34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x14ac:dyDescent="0.2">
      <c r="A39" s="5"/>
      <c r="B39" s="13">
        <v>2025</v>
      </c>
      <c r="C39" s="13">
        <v>2026</v>
      </c>
      <c r="D39" s="13">
        <v>2027</v>
      </c>
      <c r="E39" s="13">
        <v>2028</v>
      </c>
      <c r="F39" s="13">
        <v>2029</v>
      </c>
      <c r="G39" s="13">
        <v>2030</v>
      </c>
      <c r="H39" s="13">
        <v>2031</v>
      </c>
      <c r="I39" s="13">
        <v>2032</v>
      </c>
      <c r="J39" s="13">
        <v>2033</v>
      </c>
      <c r="K39" s="13">
        <v>2034</v>
      </c>
      <c r="L39" s="13">
        <v>2035</v>
      </c>
      <c r="M39" s="13">
        <v>2036</v>
      </c>
      <c r="N39" s="13">
        <v>2037</v>
      </c>
      <c r="O39" s="13">
        <v>2038</v>
      </c>
      <c r="P39" s="13">
        <v>2039</v>
      </c>
      <c r="Q39" s="13">
        <v>2040</v>
      </c>
      <c r="R39" s="13">
        <v>2041</v>
      </c>
      <c r="S39" s="13">
        <v>2042</v>
      </c>
      <c r="T39" s="13">
        <v>2043</v>
      </c>
      <c r="U39" s="13">
        <v>2044</v>
      </c>
      <c r="V39" s="13">
        <v>2045</v>
      </c>
      <c r="W39" s="13">
        <v>2046</v>
      </c>
      <c r="X39" s="13">
        <v>2047</v>
      </c>
      <c r="Y39" s="13">
        <v>2048</v>
      </c>
      <c r="Z39" s="13">
        <v>2049</v>
      </c>
      <c r="AA39" s="13">
        <v>2050</v>
      </c>
    </row>
    <row r="40" spans="1:27" ht="12.75" x14ac:dyDescent="0.2">
      <c r="A40" s="5" t="s">
        <v>40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</row>
    <row r="41" spans="1:27" ht="12.75" x14ac:dyDescent="0.2">
      <c r="A41" s="5" t="s">
        <v>41</v>
      </c>
      <c r="B41" s="2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</row>
    <row r="42" spans="1:27" ht="12.75" x14ac:dyDescent="0.2">
      <c r="A42" s="5" t="s">
        <v>42</v>
      </c>
      <c r="B42" s="24"/>
      <c r="C42" s="2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</row>
    <row r="43" spans="1:27" ht="12.75" x14ac:dyDescent="0.2">
      <c r="A43" s="5" t="s">
        <v>43</v>
      </c>
      <c r="B43" s="24"/>
      <c r="C43" s="24"/>
      <c r="D43" s="24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</row>
    <row r="44" spans="1:27" ht="12.75" x14ac:dyDescent="0.2">
      <c r="A44" s="5" t="s">
        <v>44</v>
      </c>
      <c r="B44" s="24"/>
      <c r="C44" s="24"/>
      <c r="D44" s="24"/>
      <c r="E44" s="24"/>
      <c r="F44" s="26">
        <f t="shared" ref="F44:AA44" si="17">$E$27</f>
        <v>2.9784E-3</v>
      </c>
      <c r="G44" s="26">
        <f t="shared" si="17"/>
        <v>2.9784E-3</v>
      </c>
      <c r="H44" s="26">
        <f t="shared" si="17"/>
        <v>2.9784E-3</v>
      </c>
      <c r="I44" s="26">
        <f t="shared" si="17"/>
        <v>2.9784E-3</v>
      </c>
      <c r="J44" s="26">
        <f t="shared" si="17"/>
        <v>2.9784E-3</v>
      </c>
      <c r="K44" s="26">
        <f t="shared" si="17"/>
        <v>2.9784E-3</v>
      </c>
      <c r="L44" s="26">
        <f t="shared" si="17"/>
        <v>2.9784E-3</v>
      </c>
      <c r="M44" s="26">
        <f t="shared" si="17"/>
        <v>2.9784E-3</v>
      </c>
      <c r="N44" s="26">
        <f t="shared" si="17"/>
        <v>2.9784E-3</v>
      </c>
      <c r="O44" s="26">
        <f t="shared" si="17"/>
        <v>2.9784E-3</v>
      </c>
      <c r="P44" s="26">
        <f t="shared" si="17"/>
        <v>2.9784E-3</v>
      </c>
      <c r="Q44" s="26">
        <f t="shared" si="17"/>
        <v>2.9784E-3</v>
      </c>
      <c r="R44" s="26">
        <f t="shared" si="17"/>
        <v>2.9784E-3</v>
      </c>
      <c r="S44" s="26">
        <f t="shared" si="17"/>
        <v>2.9784E-3</v>
      </c>
      <c r="T44" s="26">
        <f t="shared" si="17"/>
        <v>2.9784E-3</v>
      </c>
      <c r="U44" s="26">
        <f t="shared" si="17"/>
        <v>2.9784E-3</v>
      </c>
      <c r="V44" s="26">
        <f t="shared" si="17"/>
        <v>2.9784E-3</v>
      </c>
      <c r="W44" s="26">
        <f t="shared" si="17"/>
        <v>2.9784E-3</v>
      </c>
      <c r="X44" s="26">
        <f t="shared" si="17"/>
        <v>2.9784E-3</v>
      </c>
      <c r="Y44" s="26">
        <f t="shared" si="17"/>
        <v>2.9784E-3</v>
      </c>
      <c r="Z44" s="26">
        <f t="shared" si="17"/>
        <v>2.9784E-3</v>
      </c>
      <c r="AA44" s="26">
        <f t="shared" si="17"/>
        <v>2.9784E-3</v>
      </c>
    </row>
    <row r="45" spans="1:27" ht="12.75" x14ac:dyDescent="0.2">
      <c r="A45" s="2"/>
      <c r="B45" s="27"/>
      <c r="C45" s="27"/>
      <c r="D45" s="27"/>
      <c r="E45" s="27"/>
      <c r="F45" s="27" t="s">
        <v>45</v>
      </c>
      <c r="G45" s="28">
        <f>SUM(B40:G44)</f>
        <v>5.9567999999999999E-3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 t="s">
        <v>46</v>
      </c>
      <c r="AA45" s="28">
        <f>SUM(B40:AA44)</f>
        <v>6.5524799999999994E-2</v>
      </c>
    </row>
    <row r="46" spans="1:27" ht="12.7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x14ac:dyDescent="0.2">
      <c r="A47" s="4" t="s">
        <v>47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.75" x14ac:dyDescent="0.2">
      <c r="A48" s="5"/>
      <c r="B48" s="13">
        <v>2025</v>
      </c>
      <c r="C48" s="13">
        <v>2026</v>
      </c>
      <c r="D48" s="13">
        <v>2027</v>
      </c>
      <c r="E48" s="13">
        <v>2028</v>
      </c>
      <c r="F48" s="13">
        <v>2029</v>
      </c>
      <c r="G48" s="13">
        <v>2030</v>
      </c>
      <c r="H48" s="13">
        <v>2031</v>
      </c>
      <c r="I48" s="13">
        <v>2032</v>
      </c>
      <c r="J48" s="13">
        <v>2033</v>
      </c>
      <c r="K48" s="13">
        <v>2034</v>
      </c>
      <c r="L48" s="13">
        <v>2035</v>
      </c>
      <c r="M48" s="13">
        <v>2036</v>
      </c>
      <c r="N48" s="13">
        <v>2037</v>
      </c>
      <c r="O48" s="13">
        <v>2038</v>
      </c>
      <c r="P48" s="13">
        <v>2039</v>
      </c>
      <c r="Q48" s="13">
        <v>2040</v>
      </c>
      <c r="R48" s="13">
        <v>2041</v>
      </c>
      <c r="S48" s="13">
        <v>2042</v>
      </c>
      <c r="T48" s="13">
        <v>2043</v>
      </c>
      <c r="U48" s="13">
        <v>2044</v>
      </c>
      <c r="V48" s="13">
        <v>2045</v>
      </c>
      <c r="W48" s="13">
        <v>2046</v>
      </c>
      <c r="X48" s="13">
        <v>2047</v>
      </c>
      <c r="Y48" s="13">
        <v>2048</v>
      </c>
      <c r="Z48" s="13">
        <v>2049</v>
      </c>
      <c r="AA48" s="13">
        <v>2050</v>
      </c>
    </row>
    <row r="49" spans="1:27" ht="12.75" x14ac:dyDescent="0.2">
      <c r="A49" s="5" t="s">
        <v>40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</row>
    <row r="50" spans="1:27" ht="12.75" x14ac:dyDescent="0.2">
      <c r="A50" s="5" t="s">
        <v>41</v>
      </c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</row>
    <row r="51" spans="1:27" ht="12.75" x14ac:dyDescent="0.2">
      <c r="A51" s="5" t="s">
        <v>42</v>
      </c>
      <c r="B51" s="24"/>
      <c r="C51" s="24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</row>
    <row r="52" spans="1:27" ht="12.75" x14ac:dyDescent="0.2">
      <c r="A52" s="5" t="s">
        <v>43</v>
      </c>
      <c r="B52" s="24"/>
      <c r="C52" s="24"/>
      <c r="D52" s="24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</row>
    <row r="53" spans="1:27" ht="12.75" x14ac:dyDescent="0.2">
      <c r="A53" s="5" t="s">
        <v>44</v>
      </c>
      <c r="B53" s="24"/>
      <c r="C53" s="24"/>
      <c r="D53" s="24"/>
      <c r="E53" s="24"/>
      <c r="F53" s="26">
        <f t="shared" ref="F53:AA53" si="18">$F$27</f>
        <v>0.35681231999999996</v>
      </c>
      <c r="G53" s="26">
        <f t="shared" si="18"/>
        <v>0.35681231999999996</v>
      </c>
      <c r="H53" s="26">
        <f t="shared" si="18"/>
        <v>0.35681231999999996</v>
      </c>
      <c r="I53" s="26">
        <f t="shared" si="18"/>
        <v>0.35681231999999996</v>
      </c>
      <c r="J53" s="26">
        <f t="shared" si="18"/>
        <v>0.35681231999999996</v>
      </c>
      <c r="K53" s="26">
        <f t="shared" si="18"/>
        <v>0.35681231999999996</v>
      </c>
      <c r="L53" s="26">
        <f t="shared" si="18"/>
        <v>0.35681231999999996</v>
      </c>
      <c r="M53" s="26">
        <f t="shared" si="18"/>
        <v>0.35681231999999996</v>
      </c>
      <c r="N53" s="26">
        <f t="shared" si="18"/>
        <v>0.35681231999999996</v>
      </c>
      <c r="O53" s="26">
        <f t="shared" si="18"/>
        <v>0.35681231999999996</v>
      </c>
      <c r="P53" s="26">
        <f t="shared" si="18"/>
        <v>0.35681231999999996</v>
      </c>
      <c r="Q53" s="26">
        <f t="shared" si="18"/>
        <v>0.35681231999999996</v>
      </c>
      <c r="R53" s="26">
        <f t="shared" si="18"/>
        <v>0.35681231999999996</v>
      </c>
      <c r="S53" s="26">
        <f t="shared" si="18"/>
        <v>0.35681231999999996</v>
      </c>
      <c r="T53" s="26">
        <f t="shared" si="18"/>
        <v>0.35681231999999996</v>
      </c>
      <c r="U53" s="26">
        <f t="shared" si="18"/>
        <v>0.35681231999999996</v>
      </c>
      <c r="V53" s="26">
        <f t="shared" si="18"/>
        <v>0.35681231999999996</v>
      </c>
      <c r="W53" s="26">
        <f t="shared" si="18"/>
        <v>0.35681231999999996</v>
      </c>
      <c r="X53" s="26">
        <f t="shared" si="18"/>
        <v>0.35681231999999996</v>
      </c>
      <c r="Y53" s="26">
        <f t="shared" si="18"/>
        <v>0.35681231999999996</v>
      </c>
      <c r="Z53" s="26">
        <f t="shared" si="18"/>
        <v>0.35681231999999996</v>
      </c>
      <c r="AA53" s="26">
        <f t="shared" si="18"/>
        <v>0.35681231999999996</v>
      </c>
    </row>
    <row r="54" spans="1:27" ht="12.75" x14ac:dyDescent="0.2">
      <c r="A54" s="2"/>
      <c r="B54" s="27"/>
      <c r="C54" s="27"/>
      <c r="D54" s="27"/>
      <c r="E54" s="27"/>
      <c r="F54" s="27" t="s">
        <v>45</v>
      </c>
      <c r="G54" s="28">
        <f>SUM(B49:G53)</f>
        <v>0.71362463999999992</v>
      </c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 t="s">
        <v>46</v>
      </c>
      <c r="AA54" s="28">
        <f>SUM(B49:AA53)</f>
        <v>7.8498710399999947</v>
      </c>
    </row>
    <row r="55" spans="1:27" ht="12.75" x14ac:dyDescent="0.2">
      <c r="A55" s="4" t="s">
        <v>33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x14ac:dyDescent="0.2">
      <c r="A56" s="5"/>
      <c r="B56" s="13">
        <v>2025</v>
      </c>
      <c r="C56" s="13">
        <v>2026</v>
      </c>
      <c r="D56" s="13">
        <v>2027</v>
      </c>
      <c r="E56" s="13">
        <v>2028</v>
      </c>
      <c r="F56" s="13">
        <v>2029</v>
      </c>
      <c r="G56" s="13">
        <v>2030</v>
      </c>
      <c r="H56" s="13">
        <v>2031</v>
      </c>
      <c r="I56" s="13">
        <v>2032</v>
      </c>
      <c r="J56" s="13">
        <v>2033</v>
      </c>
      <c r="K56" s="13">
        <v>2034</v>
      </c>
      <c r="L56" s="13">
        <v>2035</v>
      </c>
      <c r="M56" s="13">
        <v>2036</v>
      </c>
      <c r="N56" s="13">
        <v>2037</v>
      </c>
      <c r="O56" s="13">
        <v>2038</v>
      </c>
      <c r="P56" s="13">
        <v>2039</v>
      </c>
      <c r="Q56" s="13">
        <v>2040</v>
      </c>
      <c r="R56" s="13">
        <v>2041</v>
      </c>
      <c r="S56" s="13">
        <v>2042</v>
      </c>
      <c r="T56" s="13">
        <v>2043</v>
      </c>
      <c r="U56" s="13">
        <v>2044</v>
      </c>
      <c r="V56" s="13">
        <v>2045</v>
      </c>
      <c r="W56" s="13">
        <v>2046</v>
      </c>
      <c r="X56" s="13">
        <v>2047</v>
      </c>
      <c r="Y56" s="13">
        <v>2048</v>
      </c>
      <c r="Z56" s="13">
        <v>2049</v>
      </c>
      <c r="AA56" s="13">
        <v>2050</v>
      </c>
    </row>
    <row r="57" spans="1:27" ht="12.75" x14ac:dyDescent="0.2">
      <c r="A57" s="5" t="s">
        <v>40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</row>
    <row r="58" spans="1:27" ht="12.75" x14ac:dyDescent="0.2">
      <c r="A58" s="5" t="s">
        <v>41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</row>
    <row r="59" spans="1:27" ht="12.75" x14ac:dyDescent="0.2">
      <c r="A59" s="5" t="s">
        <v>42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</row>
    <row r="60" spans="1:27" ht="12.75" x14ac:dyDescent="0.2">
      <c r="A60" s="5" t="s">
        <v>43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</row>
    <row r="61" spans="1:27" ht="12.75" x14ac:dyDescent="0.2">
      <c r="A61" s="5" t="s">
        <v>44</v>
      </c>
      <c r="B61" s="24"/>
      <c r="C61" s="24"/>
      <c r="D61" s="24"/>
      <c r="E61" s="24"/>
      <c r="F61" s="29">
        <f t="shared" ref="F61:AA61" si="19">$D$27</f>
        <v>470.42517504</v>
      </c>
      <c r="G61" s="29">
        <f t="shared" si="19"/>
        <v>470.42517504</v>
      </c>
      <c r="H61" s="29">
        <f t="shared" si="19"/>
        <v>470.42517504</v>
      </c>
      <c r="I61" s="29">
        <f t="shared" si="19"/>
        <v>470.42517504</v>
      </c>
      <c r="J61" s="29">
        <f t="shared" si="19"/>
        <v>470.42517504</v>
      </c>
      <c r="K61" s="29">
        <f t="shared" si="19"/>
        <v>470.42517504</v>
      </c>
      <c r="L61" s="29">
        <f t="shared" si="19"/>
        <v>470.42517504</v>
      </c>
      <c r="M61" s="29">
        <f t="shared" si="19"/>
        <v>470.42517504</v>
      </c>
      <c r="N61" s="29">
        <f t="shared" si="19"/>
        <v>470.42517504</v>
      </c>
      <c r="O61" s="29">
        <f t="shared" si="19"/>
        <v>470.42517504</v>
      </c>
      <c r="P61" s="29">
        <f t="shared" si="19"/>
        <v>470.42517504</v>
      </c>
      <c r="Q61" s="29">
        <f t="shared" si="19"/>
        <v>470.42517504</v>
      </c>
      <c r="R61" s="29">
        <f t="shared" si="19"/>
        <v>470.42517504</v>
      </c>
      <c r="S61" s="29">
        <f t="shared" si="19"/>
        <v>470.42517504</v>
      </c>
      <c r="T61" s="29">
        <f t="shared" si="19"/>
        <v>470.42517504</v>
      </c>
      <c r="U61" s="29">
        <f t="shared" si="19"/>
        <v>470.42517504</v>
      </c>
      <c r="V61" s="29">
        <f t="shared" si="19"/>
        <v>470.42517504</v>
      </c>
      <c r="W61" s="29">
        <f t="shared" si="19"/>
        <v>470.42517504</v>
      </c>
      <c r="X61" s="29">
        <f t="shared" si="19"/>
        <v>470.42517504</v>
      </c>
      <c r="Y61" s="29">
        <f t="shared" si="19"/>
        <v>470.42517504</v>
      </c>
      <c r="Z61" s="29">
        <f t="shared" si="19"/>
        <v>470.42517504</v>
      </c>
      <c r="AA61" s="29">
        <f t="shared" si="19"/>
        <v>470.42517504</v>
      </c>
    </row>
    <row r="62" spans="1:27" ht="12.75" x14ac:dyDescent="0.2">
      <c r="A62" s="2"/>
      <c r="B62" s="27"/>
      <c r="C62" s="27"/>
      <c r="D62" s="27"/>
      <c r="E62" s="27"/>
      <c r="F62" s="27" t="s">
        <v>45</v>
      </c>
      <c r="G62" s="28">
        <f>SUM(B57:G61)</f>
        <v>940.85035008</v>
      </c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 t="s">
        <v>46</v>
      </c>
      <c r="AA62" s="28">
        <f>SUM(B57:AA61)</f>
        <v>10349.353850879999</v>
      </c>
    </row>
    <row r="63" spans="1:27" ht="12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x14ac:dyDescent="0.2">
      <c r="A64" s="3" t="s">
        <v>48</v>
      </c>
      <c r="B64" s="4"/>
      <c r="C64" s="4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25.5" x14ac:dyDescent="0.2">
      <c r="A65" s="30" t="s">
        <v>49</v>
      </c>
      <c r="B65" s="11" t="s">
        <v>50</v>
      </c>
      <c r="C65" s="11" t="s">
        <v>51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x14ac:dyDescent="0.2">
      <c r="A66" s="5" t="s">
        <v>52</v>
      </c>
      <c r="B66" s="31">
        <f>G36</f>
        <v>0.45152544000000006</v>
      </c>
      <c r="C66" s="31">
        <f>AA36</f>
        <v>4.9667798399999992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x14ac:dyDescent="0.2">
      <c r="A67" s="5" t="s">
        <v>53</v>
      </c>
      <c r="B67" s="31">
        <f>G45</f>
        <v>5.9567999999999999E-3</v>
      </c>
      <c r="C67" s="31">
        <f>AA45</f>
        <v>6.5524799999999994E-2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x14ac:dyDescent="0.2">
      <c r="A68" s="5" t="s">
        <v>54</v>
      </c>
      <c r="B68" s="31">
        <f>G54</f>
        <v>0.71362463999999992</v>
      </c>
      <c r="C68" s="31">
        <f>AA54</f>
        <v>7.8498710399999947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x14ac:dyDescent="0.2">
      <c r="A69" s="5" t="s">
        <v>55</v>
      </c>
      <c r="B69" s="31">
        <f>G62</f>
        <v>940.85035008</v>
      </c>
      <c r="C69" s="31">
        <f>AA62</f>
        <v>10349.353850879999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x14ac:dyDescent="0.2">
      <c r="A70" s="5" t="s">
        <v>56</v>
      </c>
      <c r="B70" s="16">
        <f t="shared" ref="B70:C70" si="20">$B$11/B69</f>
        <v>135766.54352005999</v>
      </c>
      <c r="C70" s="16">
        <f t="shared" si="20"/>
        <v>12342.413047278182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2.75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Rigard, Sarah</cp:lastModifiedBy>
  <dcterms:modified xsi:type="dcterms:W3CDTF">2024-03-28T18:42:01Z</dcterms:modified>
</cp:coreProperties>
</file>